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Live Calc" sheetId="1" r:id="rId1"/>
  </sheets>
  <externalReferences>
    <externalReference r:id="rId4"/>
  </externalReferences>
  <definedNames>
    <definedName name="deg">'[1]Computation'!$K$12</definedName>
    <definedName name="_xlnm.Print_Area" localSheetId="0">'Live Calc'!$A$1:$V$56</definedName>
  </definedNames>
  <calcPr fullCalcOnLoad="1"/>
</workbook>
</file>

<file path=xl/sharedStrings.xml><?xml version="1.0" encoding="utf-8"?>
<sst xmlns="http://schemas.openxmlformats.org/spreadsheetml/2006/main" count="53" uniqueCount="50">
  <si>
    <t>Perigee Altitude to De-Orbit (km)</t>
  </si>
  <si>
    <t>Plane change (deg)</t>
  </si>
  <si>
    <t>Altitude (km)</t>
  </si>
  <si>
    <t>Delta-V for Hohmann Transfer with Plane Change (m/s)</t>
  </si>
  <si>
    <t>Delta-V for De-Orbit (m/s)</t>
  </si>
  <si>
    <t>Central Body Parameters</t>
  </si>
  <si>
    <t>Central Body</t>
  </si>
  <si>
    <t>Earth</t>
  </si>
  <si>
    <t>Mercury</t>
  </si>
  <si>
    <t>Venus</t>
  </si>
  <si>
    <t>Moon</t>
  </si>
  <si>
    <t>Mars</t>
  </si>
  <si>
    <t>Jupiter</t>
  </si>
  <si>
    <t>Saturn</t>
  </si>
  <si>
    <t>Uranus</t>
  </si>
  <si>
    <t>Neptune</t>
  </si>
  <si>
    <t>Pluto</t>
  </si>
  <si>
    <t>Units</t>
  </si>
  <si>
    <t>km</t>
  </si>
  <si>
    <r>
      <t>μ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/s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</si>
  <si>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</si>
  <si>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r>
      <t>μ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/day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</si>
  <si>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/day</t>
    </r>
    <r>
      <rPr>
        <vertAlign val="superscript"/>
        <sz val="10"/>
        <rFont val="Geneva"/>
        <family val="0"/>
      </rPr>
      <t>2</t>
    </r>
  </si>
  <si>
    <t>Ang. Vel. on axis</t>
  </si>
  <si>
    <t>deg/min</t>
  </si>
  <si>
    <t>J2</t>
  </si>
  <si>
    <t>------</t>
  </si>
  <si>
    <t>-------</t>
  </si>
  <si>
    <t>----</t>
  </si>
  <si>
    <r>
      <t>K</t>
    </r>
    <r>
      <rPr>
        <b/>
        <vertAlign val="subscript"/>
        <sz val="10"/>
        <rFont val="Geneva"/>
        <family val="0"/>
      </rPr>
      <t>J2</t>
    </r>
  </si>
  <si>
    <r>
      <t>km</t>
    </r>
    <r>
      <rPr>
        <vertAlign val="superscript"/>
        <sz val="10"/>
        <rFont val="Geneva"/>
        <family val="0"/>
      </rPr>
      <t>7/2</t>
    </r>
    <r>
      <rPr>
        <sz val="10"/>
        <rFont val="Geneva"/>
        <family val="0"/>
      </rPr>
      <t xml:space="preserve"> deg day</t>
    </r>
    <r>
      <rPr>
        <vertAlign val="superscript"/>
        <sz val="10"/>
        <rFont val="Geneva"/>
        <family val="0"/>
      </rPr>
      <t>-1</t>
    </r>
    <r>
      <rPr>
        <sz val="10"/>
        <rFont val="Geneva"/>
        <family val="0"/>
      </rPr>
      <t xml:space="preserve"> rad</t>
    </r>
    <r>
      <rPr>
        <vertAlign val="superscript"/>
        <sz val="10"/>
        <rFont val="Geneva"/>
        <family val="0"/>
      </rPr>
      <t>-1</t>
    </r>
  </si>
  <si>
    <t>Sideral Day</t>
  </si>
  <si>
    <t>min</t>
  </si>
  <si>
    <t>Radius (km)</t>
  </si>
  <si>
    <t>Delta-V for Hohmann Transfer without Plane Change (m/s)</t>
  </si>
  <si>
    <t>Transfer Semimajor Axis (km)</t>
  </si>
  <si>
    <t>Delta-V for Plane Change (m/s)</t>
  </si>
  <si>
    <t>Constant and Conversion Factors</t>
  </si>
  <si>
    <t>1 rad</t>
  </si>
  <si>
    <t>deg</t>
  </si>
  <si>
    <t>User Inputs in Orange</t>
  </si>
  <si>
    <t>Figure 10-16. Representative Orbit Transfer and De-Orbit Delta-V Requirements</t>
  </si>
  <si>
    <t>See text for explanation.</t>
  </si>
  <si>
    <t>Initial Drop off Altitude (km)</t>
  </si>
  <si>
    <t>Altitude Step (km)</t>
  </si>
  <si>
    <t>Assumes the satellite is dropped off at the initial drop off altitude and raised via a 2-burn Hohmann transfer</t>
  </si>
  <si>
    <t>De-orbit is assumed to be an elliptical orbit with a perigee altitude (input above)</t>
  </si>
  <si>
    <t>Implemented by Kyungmo Koo, and Anthony Shao, Microcosm. Contact: bookproject@smad.com</t>
  </si>
  <si>
    <t>Copy the desired central body parameters from column O-X (from rows 3-9) and paste into column N</t>
  </si>
  <si>
    <t>Version 1. August 2, 2011. copyright, 2010, Microcosm,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</si>
</sst>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E+00"/>
    <numFmt numFmtId="167" formatCode="#,##0.0000"/>
  </numFmts>
  <fonts count="33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name val="Geneva"/>
      <family val="0"/>
    </font>
    <font>
      <sz val="11"/>
      <name val="Geneva"/>
      <family val="0"/>
    </font>
    <font>
      <sz val="8"/>
      <name val="Arial"/>
      <family val="0"/>
    </font>
    <font>
      <b/>
      <vertAlign val="superscript"/>
      <sz val="10"/>
      <name val="Geneva"/>
      <family val="0"/>
    </font>
    <font>
      <vertAlign val="superscript"/>
      <sz val="10"/>
      <name val="Geneva"/>
      <family val="0"/>
    </font>
    <font>
      <b/>
      <vertAlign val="subscript"/>
      <sz val="10"/>
      <name val="Geneva"/>
      <family val="0"/>
    </font>
    <font>
      <b/>
      <sz val="10"/>
      <name val="Arial"/>
      <family val="2"/>
    </font>
    <font>
      <sz val="15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Geneva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9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16" fillId="3" borderId="0" applyNumberFormat="0" applyBorder="0" applyAlignment="0" applyProtection="0"/>
    <xf numFmtId="0" fontId="0" fillId="21" borderId="2" applyNumberFormat="0" applyFont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3" borderId="3" applyNumberFormat="0" applyAlignment="0" applyProtection="0"/>
    <xf numFmtId="0" fontId="21" fillId="0" borderId="4" applyNumberFormat="0" applyFill="0" applyAlignment="0" applyProtection="0"/>
    <xf numFmtId="0" fontId="25" fillId="0" borderId="5" applyNumberFormat="0" applyFill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20" borderId="9" applyNumberFormat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0" xfId="61" applyFont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>
      <alignment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" fontId="1" fillId="20" borderId="14" xfId="0" applyNumberFormat="1" applyFont="1" applyFill="1" applyBorder="1" applyAlignment="1">
      <alignment horizontal="left"/>
    </xf>
    <xf numFmtId="2" fontId="1" fillId="7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3" fontId="1" fillId="22" borderId="15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20" borderId="19" xfId="0" applyFont="1" applyFill="1" applyBorder="1" applyAlignment="1">
      <alignment/>
    </xf>
    <xf numFmtId="3" fontId="1" fillId="7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1" fontId="1" fillId="7" borderId="20" xfId="0" applyNumberFormat="1" applyFont="1" applyFill="1" applyBorder="1" applyAlignment="1">
      <alignment horizontal="right"/>
    </xf>
    <xf numFmtId="11" fontId="2" fillId="0" borderId="20" xfId="0" applyNumberFormat="1" applyFont="1" applyFill="1" applyBorder="1" applyAlignment="1">
      <alignment horizontal="right"/>
    </xf>
    <xf numFmtId="11" fontId="2" fillId="0" borderId="21" xfId="0" applyNumberFormat="1" applyFont="1" applyFill="1" applyBorder="1" applyAlignment="1">
      <alignment horizontal="right"/>
    </xf>
    <xf numFmtId="164" fontId="1" fillId="7" borderId="20" xfId="0" applyNumberFormat="1" applyFont="1" applyFill="1" applyBorder="1" applyAlignment="1" quotePrefix="1">
      <alignment horizontal="right"/>
    </xf>
    <xf numFmtId="164" fontId="2" fillId="0" borderId="20" xfId="0" applyNumberFormat="1" applyFont="1" applyFill="1" applyBorder="1" applyAlignment="1" quotePrefix="1">
      <alignment horizontal="right"/>
    </xf>
    <xf numFmtId="11" fontId="2" fillId="0" borderId="21" xfId="0" applyNumberFormat="1" applyFont="1" applyFill="1" applyBorder="1" applyAlignment="1" quotePrefix="1">
      <alignment horizontal="right"/>
    </xf>
    <xf numFmtId="11" fontId="2" fillId="0" borderId="20" xfId="0" applyNumberFormat="1" applyFont="1" applyFill="1" applyBorder="1" applyAlignment="1" quotePrefix="1">
      <alignment horizontal="right"/>
    </xf>
    <xf numFmtId="0" fontId="2" fillId="0" borderId="21" xfId="0" applyFont="1" applyFill="1" applyBorder="1" applyAlignment="1" quotePrefix="1">
      <alignment horizontal="right"/>
    </xf>
    <xf numFmtId="0" fontId="2" fillId="0" borderId="22" xfId="0" applyFont="1" applyBorder="1" applyAlignment="1" quotePrefix="1">
      <alignment/>
    </xf>
    <xf numFmtId="11" fontId="1" fillId="7" borderId="20" xfId="0" applyNumberFormat="1" applyFont="1" applyFill="1" applyBorder="1" applyAlignment="1" applyProtection="1">
      <alignment horizontal="right"/>
      <protection/>
    </xf>
    <xf numFmtId="11" fontId="2" fillId="0" borderId="20" xfId="0" applyNumberFormat="1" applyFont="1" applyFill="1" applyBorder="1" applyAlignment="1" applyProtection="1" quotePrefix="1">
      <alignment horizontal="right"/>
      <protection/>
    </xf>
    <xf numFmtId="11" fontId="2" fillId="0" borderId="20" xfId="0" applyNumberFormat="1" applyFont="1" applyFill="1" applyBorder="1" applyAlignment="1" applyProtection="1">
      <alignment horizontal="right"/>
      <protection/>
    </xf>
    <xf numFmtId="11" fontId="2" fillId="0" borderId="21" xfId="0" applyNumberFormat="1" applyFont="1" applyFill="1" applyBorder="1" applyAlignment="1" applyProtection="1" quotePrefix="1">
      <alignment horizontal="right"/>
      <protection/>
    </xf>
    <xf numFmtId="0" fontId="1" fillId="20" borderId="23" xfId="0" applyFont="1" applyFill="1" applyBorder="1" applyAlignment="1">
      <alignment/>
    </xf>
    <xf numFmtId="3" fontId="1" fillId="7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 quotePrefix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167" fontId="0" fillId="0" borderId="29" xfId="0" applyNumberFormat="1" applyBorder="1" applyAlignment="1">
      <alignment horizontal="right" vertical="center" wrapText="1"/>
    </xf>
    <xf numFmtId="0" fontId="9" fillId="20" borderId="23" xfId="0" applyFont="1" applyFill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0" fontId="28" fillId="0" borderId="0" xfId="61" applyFont="1" applyAlignment="1">
      <alignment horizontal="left" vertical="center"/>
      <protection/>
    </xf>
    <xf numFmtId="0" fontId="2" fillId="15" borderId="3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3" fontId="4" fillId="15" borderId="25" xfId="61" applyNumberFormat="1" applyFont="1" applyFill="1" applyBorder="1" applyAlignment="1">
      <alignment horizontal="center" vertical="center"/>
      <protection/>
    </xf>
    <xf numFmtId="0" fontId="1" fillId="4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1" fillId="15" borderId="11" xfId="61" applyFont="1" applyFill="1" applyBorder="1" applyAlignment="1">
      <alignment horizontal="center" vertical="center" wrapText="1"/>
      <protection/>
    </xf>
    <xf numFmtId="0" fontId="1" fillId="15" borderId="10" xfId="6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vertical="center" wrapText="1"/>
    </xf>
    <xf numFmtId="0" fontId="32" fillId="7" borderId="20" xfId="0" applyFont="1" applyFill="1" applyBorder="1" applyAlignment="1">
      <alignment horizontal="left" vertical="center" wrapText="1"/>
    </xf>
    <xf numFmtId="0" fontId="1" fillId="15" borderId="12" xfId="61" applyFont="1" applyFill="1" applyBorder="1" applyAlignment="1">
      <alignment horizontal="center" vertical="center" wrapText="1"/>
      <protection/>
    </xf>
    <xf numFmtId="0" fontId="32" fillId="7" borderId="42" xfId="0" applyFont="1" applyFill="1" applyBorder="1" applyAlignment="1">
      <alignment horizontal="left" vertical="center" wrapText="1"/>
    </xf>
    <xf numFmtId="0" fontId="32" fillId="7" borderId="21" xfId="0" applyFont="1" applyFill="1" applyBorder="1" applyAlignment="1">
      <alignment horizontal="left" vertical="center" wrapText="1"/>
    </xf>
    <xf numFmtId="0" fontId="32" fillId="7" borderId="33" xfId="0" applyFont="1" applyFill="1" applyBorder="1" applyAlignment="1">
      <alignment horizontal="left" vertical="center" wrapText="1"/>
    </xf>
    <xf numFmtId="0" fontId="32" fillId="7" borderId="24" xfId="0" applyFont="1" applyFill="1" applyBorder="1" applyAlignment="1">
      <alignment horizontal="left" vertical="center" wrapText="1"/>
    </xf>
    <xf numFmtId="0" fontId="32" fillId="7" borderId="25" xfId="0" applyFont="1" applyFill="1" applyBorder="1" applyAlignment="1">
      <alignment horizontal="lef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Percent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Representative Orbit Transfer and De-Orbit Delta-V Requirements</a:t>
            </a:r>
          </a:p>
        </c:rich>
      </c:tx>
      <c:layout>
        <c:manualLayout>
          <c:xMode val="factor"/>
          <c:yMode val="factor"/>
          <c:x val="0.01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65"/>
          <c:w val="0.939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v>De-Orbit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Calc'!$J$12:$J$83</c:f>
              <c:numCache/>
            </c:numRef>
          </c:xVal>
          <c:yVal>
            <c:numRef>
              <c:f>'Live Calc'!$O$12:$O$83</c:f>
              <c:numCache/>
            </c:numRef>
          </c:yVal>
          <c:smooth val="1"/>
        </c:ser>
        <c:ser>
          <c:idx val="1"/>
          <c:order val="1"/>
          <c:tx>
            <c:v>Hohmann Transfer w/o Plane Change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Calc'!$J$12:$J$83</c:f>
              <c:numCache/>
            </c:numRef>
          </c:xVal>
          <c:yVal>
            <c:numRef>
              <c:f>'Live Calc'!$L$12:$L$83</c:f>
              <c:numCache/>
            </c:numRef>
          </c:yVal>
          <c:smooth val="1"/>
        </c:ser>
        <c:ser>
          <c:idx val="2"/>
          <c:order val="2"/>
          <c:tx>
            <c:v>Hohmann Transfer w/ Plane Change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Calc'!$J$12:$J$83</c:f>
              <c:numCache/>
            </c:numRef>
          </c:xVal>
          <c:yVal>
            <c:numRef>
              <c:f>'Live Calc'!$N$12:$N$83</c:f>
              <c:numCache/>
            </c:numRef>
          </c:yVal>
          <c:smooth val="1"/>
        </c:ser>
        <c:axId val="19069964"/>
        <c:axId val="37411949"/>
      </c:scatterChart>
      <c:valAx>
        <c:axId val="190699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</c:valAx>
      <c:valAx>
        <c:axId val="37411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Delta-V (m/s)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975"/>
          <c:y val="0.95175"/>
          <c:w val="0.881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7</xdr:col>
      <xdr:colOff>561975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0" y="3333750"/>
        <a:ext cx="78962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center\Consultants\Users\KKM\AppData\Local\Microsoft\Windows\Temporary%20Internet%20Files\Content.IE5\9JXTYSKW\SME_Fig_8-42_HistogramsOfCoverage_v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"/>
      <sheetName val="Computation"/>
    </sheetNames>
    <sheetDataSet>
      <sheetData sheetId="1">
        <row r="12">
          <cell r="K12">
            <v>57.29577951308232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17.28125" style="0" customWidth="1"/>
    <col min="6" max="6" width="14.00390625" style="0" customWidth="1"/>
    <col min="7" max="7" width="9.57421875" style="0" customWidth="1"/>
    <col min="10" max="10" width="16.57421875" style="0" bestFit="1" customWidth="1"/>
    <col min="11" max="11" width="11.140625" style="0" bestFit="1" customWidth="1"/>
    <col min="12" max="12" width="20.140625" style="0" bestFit="1" customWidth="1"/>
    <col min="13" max="13" width="16.57421875" style="0" bestFit="1" customWidth="1"/>
    <col min="14" max="14" width="20.140625" style="0" bestFit="1" customWidth="1"/>
    <col min="15" max="15" width="10.57421875" style="0" bestFit="1" customWidth="1"/>
    <col min="16" max="16" width="9.57421875" style="0" bestFit="1" customWidth="1"/>
    <col min="17" max="17" width="11.140625" style="0" bestFit="1" customWidth="1"/>
    <col min="18" max="18" width="10.140625" style="0" bestFit="1" customWidth="1"/>
    <col min="19" max="20" width="9.57421875" style="0" bestFit="1" customWidth="1"/>
    <col min="21" max="21" width="9.00390625" style="0" bestFit="1" customWidth="1"/>
    <col min="22" max="22" width="18.28125" style="0" bestFit="1" customWidth="1"/>
  </cols>
  <sheetData>
    <row r="1" spans="1:22" ht="13.5" thickBot="1">
      <c r="A1" s="1" t="s">
        <v>41</v>
      </c>
      <c r="B1" s="2"/>
      <c r="C1" s="2"/>
      <c r="D1" s="2"/>
      <c r="E1" s="2"/>
      <c r="F1" s="75" t="s">
        <v>37</v>
      </c>
      <c r="G1" s="76"/>
      <c r="H1" s="77"/>
      <c r="I1" s="2"/>
      <c r="J1" s="72" t="s">
        <v>5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2" ht="13.5" thickBot="1">
      <c r="A2" s="3" t="s">
        <v>47</v>
      </c>
      <c r="B2" s="2"/>
      <c r="C2" s="2"/>
      <c r="D2" s="2"/>
      <c r="E2" s="2"/>
      <c r="F2" s="60" t="s">
        <v>38</v>
      </c>
      <c r="G2" s="59">
        <v>57.2958</v>
      </c>
      <c r="H2" s="58" t="s">
        <v>39</v>
      </c>
      <c r="I2" s="2"/>
      <c r="J2" s="9" t="s">
        <v>6</v>
      </c>
      <c r="K2" s="10" t="s">
        <v>7</v>
      </c>
      <c r="L2" s="11" t="s">
        <v>8</v>
      </c>
      <c r="M2" s="12" t="s">
        <v>9</v>
      </c>
      <c r="N2" s="13" t="s">
        <v>7</v>
      </c>
      <c r="O2" s="13" t="s">
        <v>10</v>
      </c>
      <c r="P2" s="14" t="s">
        <v>11</v>
      </c>
      <c r="Q2" s="15" t="s">
        <v>12</v>
      </c>
      <c r="R2" s="16" t="s">
        <v>13</v>
      </c>
      <c r="S2" s="17" t="s">
        <v>14</v>
      </c>
      <c r="T2" s="17" t="s">
        <v>15</v>
      </c>
      <c r="U2" s="18" t="s">
        <v>16</v>
      </c>
      <c r="V2" s="19" t="s">
        <v>17</v>
      </c>
    </row>
    <row r="3" spans="1:22" ht="12.75">
      <c r="A3" s="3" t="s">
        <v>49</v>
      </c>
      <c r="B3" s="2"/>
      <c r="C3" s="2"/>
      <c r="D3" s="2"/>
      <c r="E3" s="2"/>
      <c r="F3" s="2"/>
      <c r="G3" s="2"/>
      <c r="H3" s="2"/>
      <c r="I3" s="2"/>
      <c r="J3" s="20" t="s">
        <v>33</v>
      </c>
      <c r="K3" s="21">
        <v>6378.1366</v>
      </c>
      <c r="L3" s="22">
        <v>2439.7</v>
      </c>
      <c r="M3" s="22">
        <v>6051.8</v>
      </c>
      <c r="N3" s="22">
        <v>6378.1366</v>
      </c>
      <c r="O3" s="22">
        <v>1738</v>
      </c>
      <c r="P3" s="22">
        <v>3397</v>
      </c>
      <c r="Q3" s="23">
        <v>71492</v>
      </c>
      <c r="R3" s="23">
        <v>60268</v>
      </c>
      <c r="S3" s="22">
        <v>25559</v>
      </c>
      <c r="T3" s="22">
        <v>24764</v>
      </c>
      <c r="U3" s="24">
        <v>1195</v>
      </c>
      <c r="V3" s="25" t="s">
        <v>18</v>
      </c>
    </row>
    <row r="4" spans="1:22" ht="14.25">
      <c r="A4" s="65" t="s">
        <v>42</v>
      </c>
      <c r="B4" s="2"/>
      <c r="C4" s="2"/>
      <c r="D4" s="2"/>
      <c r="E4" s="2"/>
      <c r="F4" s="2"/>
      <c r="G4" s="2"/>
      <c r="H4" s="2"/>
      <c r="I4" s="2"/>
      <c r="J4" s="20" t="s">
        <v>19</v>
      </c>
      <c r="K4" s="21">
        <v>398600.4356</v>
      </c>
      <c r="L4" s="22">
        <f>2.20321*10^4</f>
        <v>22032.1</v>
      </c>
      <c r="M4" s="22">
        <f>3.248585917*10^5</f>
        <v>324858.59170000005</v>
      </c>
      <c r="N4" s="22">
        <v>398600.4356</v>
      </c>
      <c r="O4" s="22">
        <v>4902.80015</v>
      </c>
      <c r="P4" s="22">
        <v>42828.37522</v>
      </c>
      <c r="Q4" s="22">
        <f>1.267127626*10^8</f>
        <v>126712762.6</v>
      </c>
      <c r="R4" s="22">
        <f>3.79405849*10^7</f>
        <v>37940584.9</v>
      </c>
      <c r="S4" s="22">
        <f>5.794549*10^6</f>
        <v>5794549</v>
      </c>
      <c r="T4" s="22">
        <f>6.836527*10^6</f>
        <v>6836527</v>
      </c>
      <c r="U4" s="24">
        <f>9.7178*10^2</f>
        <v>971.7800000000001</v>
      </c>
      <c r="V4" s="25" t="s">
        <v>20</v>
      </c>
    </row>
    <row r="5" spans="1:22" ht="15" thickBot="1">
      <c r="A5" s="4"/>
      <c r="B5" s="2"/>
      <c r="C5" s="2"/>
      <c r="D5" s="2"/>
      <c r="E5" s="2"/>
      <c r="F5" s="54"/>
      <c r="G5" s="54"/>
      <c r="H5" s="2"/>
      <c r="I5" s="2"/>
      <c r="J5" s="20" t="s">
        <v>21</v>
      </c>
      <c r="K5" s="26">
        <f>K4*(3600^2)*(24^2)</f>
        <v>2975536307736576</v>
      </c>
      <c r="L5" s="27">
        <f>L4*(3600^2)*(24^2)</f>
        <v>164468745216000</v>
      </c>
      <c r="M5" s="27">
        <f>M4*(3600^2)*(24^2)</f>
        <v>2425056392696832.5</v>
      </c>
      <c r="N5" s="27">
        <f>N4*(3600^2)*(24^2)</f>
        <v>2975536307736576</v>
      </c>
      <c r="O5" s="27">
        <f>O4*(3600^2)*(24^2)</f>
        <v>36599207007744</v>
      </c>
      <c r="P5" s="27">
        <f aca="true" t="shared" si="0" ref="P5:U5">P4*(3600^2)*(24^2)</f>
        <v>319712107882291.25</v>
      </c>
      <c r="Q5" s="27">
        <f t="shared" si="0"/>
        <v>9.45905704298496E+17</v>
      </c>
      <c r="R5" s="27">
        <f t="shared" si="0"/>
        <v>2.83224948655104E+17</v>
      </c>
      <c r="S5" s="27">
        <f t="shared" si="0"/>
        <v>43256076503040000</v>
      </c>
      <c r="T5" s="27">
        <f t="shared" si="0"/>
        <v>51034400593920000</v>
      </c>
      <c r="U5" s="28">
        <f t="shared" si="0"/>
        <v>7254298828800.001</v>
      </c>
      <c r="V5" s="25" t="s">
        <v>22</v>
      </c>
    </row>
    <row r="6" spans="1:22" ht="12.75" customHeight="1">
      <c r="A6" s="78" t="s">
        <v>40</v>
      </c>
      <c r="B6" s="82"/>
      <c r="C6" s="79"/>
      <c r="D6" s="2"/>
      <c r="E6" s="2"/>
      <c r="F6" s="55"/>
      <c r="G6" s="55"/>
      <c r="H6" s="2"/>
      <c r="I6" s="2"/>
      <c r="J6" s="20" t="s">
        <v>23</v>
      </c>
      <c r="K6" s="29">
        <f>360/K9</f>
        <v>0.25068445560702096</v>
      </c>
      <c r="L6" s="30">
        <f aca="true" t="shared" si="1" ref="L6:U6">360/L9</f>
        <v>0.004262848972802598</v>
      </c>
      <c r="M6" s="30">
        <f t="shared" si="1"/>
        <v>-0.0010287223391993825</v>
      </c>
      <c r="N6" s="30">
        <f t="shared" si="1"/>
        <v>0.25068445560702096</v>
      </c>
      <c r="O6" s="30">
        <f t="shared" si="1"/>
        <v>0.00915024928939164</v>
      </c>
      <c r="P6" s="30">
        <f t="shared" si="1"/>
        <v>0.2436749892234736</v>
      </c>
      <c r="Q6" s="30">
        <f t="shared" si="1"/>
        <v>0.6045393651853034</v>
      </c>
      <c r="R6" s="30">
        <f t="shared" si="1"/>
        <v>0.5630516498539444</v>
      </c>
      <c r="S6" s="30">
        <f t="shared" si="1"/>
        <v>-0.34802800372529175</v>
      </c>
      <c r="T6" s="30">
        <f t="shared" si="1"/>
        <v>0.37243947858473003</v>
      </c>
      <c r="U6" s="31">
        <f t="shared" si="1"/>
        <v>-0.0391404996770126</v>
      </c>
      <c r="V6" s="25" t="s">
        <v>24</v>
      </c>
    </row>
    <row r="7" spans="1:22" ht="12.75" customHeight="1">
      <c r="A7" s="83" t="s">
        <v>48</v>
      </c>
      <c r="B7" s="81"/>
      <c r="C7" s="84"/>
      <c r="D7" s="80"/>
      <c r="E7" s="54"/>
      <c r="F7" s="50"/>
      <c r="G7" s="50"/>
      <c r="H7" s="2"/>
      <c r="I7" s="2"/>
      <c r="J7" s="20" t="s">
        <v>25</v>
      </c>
      <c r="K7" s="26">
        <f>0.0010826359</f>
        <v>0.0010826359</v>
      </c>
      <c r="L7" s="32" t="s">
        <v>26</v>
      </c>
      <c r="M7" s="27">
        <f>0.027*10^-3</f>
        <v>2.7E-05</v>
      </c>
      <c r="N7" s="27">
        <f>0.0010826359</f>
        <v>0.0010826359</v>
      </c>
      <c r="O7" s="32">
        <f>0.2027*10^-3</f>
        <v>0.0002027</v>
      </c>
      <c r="P7" s="27">
        <f>1.964*10^-3</f>
        <v>0.001964</v>
      </c>
      <c r="Q7" s="27">
        <f>14.736*10^-3</f>
        <v>0.014736</v>
      </c>
      <c r="R7" s="27">
        <f>16.298*10^-3</f>
        <v>0.016298</v>
      </c>
      <c r="S7" s="27">
        <f>12*10^-3</f>
        <v>0.012</v>
      </c>
      <c r="T7" s="27">
        <f>3.411*10^-3</f>
        <v>0.003411</v>
      </c>
      <c r="U7" s="33" t="s">
        <v>27</v>
      </c>
      <c r="V7" s="34" t="s">
        <v>28</v>
      </c>
    </row>
    <row r="8" spans="1:22" ht="15.75" thickBot="1">
      <c r="A8" s="85"/>
      <c r="B8" s="86"/>
      <c r="C8" s="87"/>
      <c r="D8" s="80"/>
      <c r="E8" s="55"/>
      <c r="F8" s="50"/>
      <c r="G8" s="50"/>
      <c r="H8" s="51"/>
      <c r="I8" s="2"/>
      <c r="J8" s="20" t="s">
        <v>29</v>
      </c>
      <c r="K8" s="35">
        <v>-206474572244494.9</v>
      </c>
      <c r="L8" s="36" t="s">
        <v>26</v>
      </c>
      <c r="M8" s="37">
        <v>-4185118031492.216</v>
      </c>
      <c r="N8" s="37">
        <v>-206474572244494.9</v>
      </c>
      <c r="O8" s="37">
        <v>-318348657109.2293</v>
      </c>
      <c r="P8" s="37">
        <v>-34827797492585.027</v>
      </c>
      <c r="Q8" s="37">
        <v>-6.295530320959735E+18</v>
      </c>
      <c r="R8" s="37">
        <v>-2.7076187787708564E+18</v>
      </c>
      <c r="S8" s="37">
        <v>-1.4012202849068656E+17</v>
      </c>
      <c r="T8" s="37">
        <v>-40613340355405576</v>
      </c>
      <c r="U8" s="38" t="s">
        <v>27</v>
      </c>
      <c r="V8" s="25" t="s">
        <v>30</v>
      </c>
    </row>
    <row r="9" spans="1:22" ht="13.5" thickBot="1">
      <c r="A9" s="2"/>
      <c r="B9" s="2"/>
      <c r="C9" s="2"/>
      <c r="D9" s="2"/>
      <c r="E9" s="50"/>
      <c r="F9" s="2"/>
      <c r="G9" s="2"/>
      <c r="H9" s="2"/>
      <c r="I9" s="2"/>
      <c r="J9" s="39" t="s">
        <v>31</v>
      </c>
      <c r="K9" s="40">
        <f>86164.098/60</f>
        <v>1436.0683</v>
      </c>
      <c r="L9" s="41">
        <f>58.646225*24*60</f>
        <v>84450.564</v>
      </c>
      <c r="M9" s="41">
        <f>-243.0199*24*60</f>
        <v>-349948.656</v>
      </c>
      <c r="N9" s="42">
        <f>86164.098/60</f>
        <v>1436.0683</v>
      </c>
      <c r="O9" s="43">
        <v>39343.1904</v>
      </c>
      <c r="P9" s="41">
        <f>1.02595675*24*60</f>
        <v>1477.37772</v>
      </c>
      <c r="Q9" s="41">
        <f>0.413538*60*24</f>
        <v>595.49472</v>
      </c>
      <c r="R9" s="41">
        <f>0.444009*24*60</f>
        <v>639.37296</v>
      </c>
      <c r="S9" s="41">
        <f>-0.718333*24*60</f>
        <v>-1034.39952</v>
      </c>
      <c r="T9" s="41">
        <f>0.67125*24*60</f>
        <v>966.5999999999999</v>
      </c>
      <c r="U9" s="44">
        <f>-6.387246*24*60</f>
        <v>-9197.63424</v>
      </c>
      <c r="V9" s="45" t="s">
        <v>32</v>
      </c>
    </row>
    <row r="10" spans="1:22" ht="26.25" thickBot="1">
      <c r="A10" s="6" t="s">
        <v>0</v>
      </c>
      <c r="B10" s="7" t="s">
        <v>1</v>
      </c>
      <c r="C10" s="67" t="s">
        <v>43</v>
      </c>
      <c r="E10" s="54"/>
      <c r="F10" s="2"/>
      <c r="G10" s="2"/>
      <c r="H10" s="2"/>
      <c r="I10" s="51"/>
      <c r="J10" s="52"/>
      <c r="K10" s="53"/>
      <c r="L10" s="47"/>
      <c r="M10" s="47"/>
      <c r="N10" s="48"/>
      <c r="O10" s="46"/>
      <c r="P10" s="47"/>
      <c r="Q10" s="47"/>
      <c r="R10" s="47"/>
      <c r="S10" s="47"/>
      <c r="T10" s="47"/>
      <c r="U10" s="47"/>
      <c r="V10" s="51"/>
    </row>
    <row r="11" spans="1:15" ht="45.75" customHeight="1" thickBot="1">
      <c r="A11" s="66">
        <v>50</v>
      </c>
      <c r="B11" s="68">
        <v>30</v>
      </c>
      <c r="C11" s="69">
        <v>185</v>
      </c>
      <c r="E11" s="2"/>
      <c r="F11" s="2"/>
      <c r="G11" s="2"/>
      <c r="H11" s="2"/>
      <c r="I11" s="2"/>
      <c r="J11" s="6" t="s">
        <v>2</v>
      </c>
      <c r="K11" s="7" t="s">
        <v>35</v>
      </c>
      <c r="L11" s="7" t="s">
        <v>34</v>
      </c>
      <c r="M11" s="7" t="s">
        <v>36</v>
      </c>
      <c r="N11" s="7" t="s">
        <v>3</v>
      </c>
      <c r="O11" s="5" t="s">
        <v>4</v>
      </c>
    </row>
    <row r="12" spans="1:15" ht="15" thickBot="1">
      <c r="A12" s="49"/>
      <c r="B12" s="50"/>
      <c r="C12" s="50"/>
      <c r="D12" s="50"/>
      <c r="E12" s="2"/>
      <c r="F12" s="2"/>
      <c r="G12" s="2"/>
      <c r="H12" s="2"/>
      <c r="I12" s="2"/>
      <c r="J12" s="8">
        <f>$C$11</f>
        <v>185</v>
      </c>
      <c r="K12" s="56">
        <f>$K$3+($J$12+J12)/2</f>
        <v>6563.1366</v>
      </c>
      <c r="L12" s="61">
        <f>(ABS(SQRT($K$4*(2/($J$12+$K$3)-1/K12))-SQRT($K$4/($J$12+$K$3)))+ABS(SQRT($K$4/(J12+$K$3))-SQRT($K$4*(2/(J12+$K$3)-1/K12))))*1000</f>
        <v>0</v>
      </c>
      <c r="M12" s="56">
        <f aca="true" t="shared" si="2" ref="M12:M43">SQRT(SQRT($K$4*(2/(J12+$K$3)-1/K12))^2+SQRT($K$4/(J12+$K$3))^2-(2*SQRT($K$4*(2/(J12+$K$3)-1/K12))*SQRT($K$4/(J12+$K$3))*COS($B$11/$G$2)))*1000</f>
        <v>4034.0310558117</v>
      </c>
      <c r="N12" s="56">
        <f>(ABS(SQRT($K$4*(2/($J$12+$K$3)-1/K12))-SQRT($K$4/($J$12+$K$3)))+M12/1000)*1000</f>
        <v>4034.0310558117</v>
      </c>
      <c r="O12" s="57">
        <f aca="true" t="shared" si="3" ref="O12:O43">(SQRT($K$4/($K$3+J12))*(1-SQRT(2*($K$3+$A$11)/(2*$K$3+$A$11+J12))))*1000</f>
        <v>40.59736951471273</v>
      </c>
    </row>
    <row r="13" spans="1:15" ht="25.5">
      <c r="A13" s="70" t="s">
        <v>44</v>
      </c>
      <c r="C13" s="2"/>
      <c r="D13" s="2"/>
      <c r="E13" s="2"/>
      <c r="F13" s="2"/>
      <c r="G13" s="2"/>
      <c r="H13" s="2"/>
      <c r="I13" s="2"/>
      <c r="J13" s="8">
        <f aca="true" t="shared" si="4" ref="J13:J44">J12+$A$14</f>
        <v>685</v>
      </c>
      <c r="K13" s="56">
        <f>$K$3+($J$12+J13)/2</f>
        <v>6813.1366</v>
      </c>
      <c r="L13" s="56">
        <f>(ABS(SQRT($K$4*(2/($J$12+$K$3)-1/K13))-SQRT($K$4/($J$12+$K$3)))+ABS(SQRT($K$4/(J13+$K$3))-SQRT($K$4*(2/(J13+$K$3)-1/K13))))*1000</f>
        <v>280.806836896045</v>
      </c>
      <c r="M13" s="56">
        <f t="shared" si="2"/>
        <v>3854.9630040494035</v>
      </c>
      <c r="N13" s="56">
        <f>(ABS(SQRT($K$4*(2/($J$12+$K$3)-1/K13))-SQRT($K$4/($J$12+$K$3)))+M13/1000)*1000</f>
        <v>3996.655166243777</v>
      </c>
      <c r="O13" s="57">
        <f t="shared" si="3"/>
        <v>178.92201945654983</v>
      </c>
    </row>
    <row r="14" spans="1:15" ht="13.5" thickBot="1">
      <c r="A14" s="71">
        <v>500</v>
      </c>
      <c r="C14" s="2"/>
      <c r="D14" s="2"/>
      <c r="E14" s="2"/>
      <c r="F14" s="2"/>
      <c r="G14" s="2"/>
      <c r="H14" s="2"/>
      <c r="I14" s="2"/>
      <c r="J14" s="8">
        <f t="shared" si="4"/>
        <v>1185</v>
      </c>
      <c r="K14" s="56">
        <f aca="true" t="shared" si="5" ref="K14:K77">$K$3+($J$12+J14)/2</f>
        <v>7063.1366</v>
      </c>
      <c r="L14" s="56">
        <f aca="true" t="shared" si="6" ref="L14:L77">(ABS(SQRT($K$4*(2/($J$12+$K$3)-1/K14))-SQRT($K$4/($J$12+$K$3)))+ABS(SQRT($K$4/(J14+$K$3))-SQRT($K$4*(2/(J14+$K$3)-1/K14))))*1000</f>
        <v>532.7956426075398</v>
      </c>
      <c r="M14" s="56">
        <f t="shared" si="2"/>
        <v>3698.809550997058</v>
      </c>
      <c r="N14" s="56">
        <f aca="true" t="shared" si="7" ref="N14:N77">(ABS(SQRT($K$4*(2/($J$12+$K$3)-1/K14))-SQRT($K$4/($J$12+$K$3)))+M14/1000)*1000</f>
        <v>3969.9323218338996</v>
      </c>
      <c r="O14" s="57">
        <f t="shared" si="3"/>
        <v>300.6872030095767</v>
      </c>
    </row>
    <row r="15" spans="3:15" ht="12.75">
      <c r="C15" s="2"/>
      <c r="D15" s="2"/>
      <c r="E15" s="2"/>
      <c r="F15" s="2"/>
      <c r="G15" s="2"/>
      <c r="H15" s="2"/>
      <c r="I15" s="2"/>
      <c r="J15" s="8">
        <f t="shared" si="4"/>
        <v>1685</v>
      </c>
      <c r="K15" s="56">
        <f t="shared" si="5"/>
        <v>7313.1366</v>
      </c>
      <c r="L15" s="56">
        <f t="shared" si="6"/>
        <v>760.1452515502868</v>
      </c>
      <c r="M15" s="56">
        <f t="shared" si="2"/>
        <v>3561.6780600088914</v>
      </c>
      <c r="N15" s="56">
        <f t="shared" si="7"/>
        <v>3951.5404255274657</v>
      </c>
      <c r="O15" s="57">
        <f t="shared" si="3"/>
        <v>408.5088601435159</v>
      </c>
    </row>
    <row r="16" spans="3:15" ht="12.75">
      <c r="C16" s="2"/>
      <c r="D16" s="2"/>
      <c r="E16" s="2"/>
      <c r="F16" s="2"/>
      <c r="G16" s="2"/>
      <c r="H16" s="2"/>
      <c r="I16" s="2"/>
      <c r="J16" s="8">
        <f t="shared" si="4"/>
        <v>2185</v>
      </c>
      <c r="K16" s="56">
        <f t="shared" si="5"/>
        <v>7563.1366</v>
      </c>
      <c r="L16" s="56">
        <f t="shared" si="6"/>
        <v>966.2473427281589</v>
      </c>
      <c r="M16" s="56">
        <f t="shared" si="2"/>
        <v>3440.4841776029944</v>
      </c>
      <c r="N16" s="56">
        <f t="shared" si="7"/>
        <v>3939.7010301311866</v>
      </c>
      <c r="O16" s="57">
        <f t="shared" si="3"/>
        <v>504.478195990146</v>
      </c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8">
        <f t="shared" si="4"/>
        <v>2685</v>
      </c>
      <c r="K17" s="56">
        <f t="shared" si="5"/>
        <v>7813.1366</v>
      </c>
      <c r="L17" s="56">
        <f t="shared" si="6"/>
        <v>1153.8878777741263</v>
      </c>
      <c r="M17" s="56">
        <f t="shared" si="2"/>
        <v>3332.7527976906717</v>
      </c>
      <c r="N17" s="56">
        <f t="shared" si="7"/>
        <v>3933.03523235501</v>
      </c>
      <c r="O17" s="57">
        <f t="shared" si="3"/>
        <v>590.2887854642054</v>
      </c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8">
        <f t="shared" si="4"/>
        <v>3185</v>
      </c>
      <c r="K18" s="56">
        <f t="shared" si="5"/>
        <v>8063.1366</v>
      </c>
      <c r="L18" s="56">
        <f t="shared" si="6"/>
        <v>1325.3794775353426</v>
      </c>
      <c r="M18" s="56">
        <f t="shared" si="2"/>
        <v>3236.4757038049556</v>
      </c>
      <c r="N18" s="56">
        <f t="shared" si="7"/>
        <v>3930.4627858374624</v>
      </c>
      <c r="O18" s="57">
        <f t="shared" si="3"/>
        <v>667.3279068057692</v>
      </c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8">
        <f t="shared" si="4"/>
        <v>3685</v>
      </c>
      <c r="K19" s="56">
        <f t="shared" si="5"/>
        <v>8313.1366</v>
      </c>
      <c r="L19" s="56">
        <f t="shared" si="6"/>
        <v>1482.6598269270735</v>
      </c>
      <c r="M19" s="56">
        <f t="shared" si="2"/>
        <v>3150.007673098085</v>
      </c>
      <c r="N19" s="56">
        <f t="shared" si="7"/>
        <v>3931.129993343801</v>
      </c>
      <c r="O19" s="57">
        <f t="shared" si="3"/>
        <v>736.7434685737371</v>
      </c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8">
        <f t="shared" si="4"/>
        <v>4185</v>
      </c>
      <c r="K20" s="56">
        <f t="shared" si="5"/>
        <v>8563.1366</v>
      </c>
      <c r="L20" s="56">
        <f t="shared" si="6"/>
        <v>1627.3660399163061</v>
      </c>
      <c r="M20" s="56">
        <f t="shared" si="2"/>
        <v>3071.9892924875976</v>
      </c>
      <c r="N20" s="56">
        <f t="shared" si="7"/>
        <v>3934.357218899326</v>
      </c>
      <c r="O20" s="57">
        <f t="shared" si="3"/>
        <v>799.4939060306708</v>
      </c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8">
        <f t="shared" si="4"/>
        <v>4685</v>
      </c>
      <c r="K21" s="56">
        <f t="shared" si="5"/>
        <v>8813.1366</v>
      </c>
      <c r="L21" s="56">
        <f t="shared" si="6"/>
        <v>1760.8916834785707</v>
      </c>
      <c r="M21" s="56">
        <f t="shared" si="2"/>
        <v>3001.2887123132623</v>
      </c>
      <c r="N21" s="56">
        <f t="shared" si="7"/>
        <v>3939.600059165442</v>
      </c>
      <c r="O21" s="57">
        <f t="shared" si="3"/>
        <v>856.3859554072254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8">
        <f t="shared" si="4"/>
        <v>5185</v>
      </c>
      <c r="K22" s="56">
        <f t="shared" si="5"/>
        <v>9063.1366</v>
      </c>
      <c r="L22" s="56">
        <f t="shared" si="6"/>
        <v>1884.4310776667915</v>
      </c>
      <c r="M22" s="56">
        <f t="shared" si="2"/>
        <v>2936.9570744469142</v>
      </c>
      <c r="N22" s="56">
        <f t="shared" si="7"/>
        <v>3946.420204736903</v>
      </c>
      <c r="O22" s="57">
        <f t="shared" si="3"/>
        <v>908.1036458453784</v>
      </c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8">
        <f t="shared" si="4"/>
        <v>5685</v>
      </c>
      <c r="K23" s="56">
        <f t="shared" si="5"/>
        <v>9313.1366</v>
      </c>
      <c r="L23" s="56">
        <f t="shared" si="6"/>
        <v>1999.0141161506356</v>
      </c>
      <c r="M23" s="56">
        <f t="shared" si="2"/>
        <v>2878.1939782810705</v>
      </c>
      <c r="N23" s="56">
        <f t="shared" si="7"/>
        <v>3954.4632927344155</v>
      </c>
      <c r="O23" s="57">
        <f t="shared" si="3"/>
        <v>955.2308269836989</v>
      </c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8">
        <f t="shared" si="4"/>
        <v>6185</v>
      </c>
      <c r="K24" s="56">
        <f t="shared" si="5"/>
        <v>9563.1366</v>
      </c>
      <c r="L24" s="56">
        <f t="shared" si="6"/>
        <v>2105.5339267683576</v>
      </c>
      <c r="M24" s="56">
        <f t="shared" si="2"/>
        <v>2824.320424944942</v>
      </c>
      <c r="N24" s="56">
        <f t="shared" si="7"/>
        <v>3963.4418811302526</v>
      </c>
      <c r="O24" s="57">
        <f t="shared" si="3"/>
        <v>998.2688698776541</v>
      </c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8">
        <f t="shared" si="4"/>
        <v>6685</v>
      </c>
      <c r="K25" s="56">
        <f t="shared" si="5"/>
        <v>9813.1366</v>
      </c>
      <c r="L25" s="56">
        <f t="shared" si="6"/>
        <v>2204.7690565257208</v>
      </c>
      <c r="M25" s="56">
        <f t="shared" si="2"/>
        <v>2774.7574076274095</v>
      </c>
      <c r="N25" s="56">
        <f t="shared" si="7"/>
        <v>3973.122227218375</v>
      </c>
      <c r="O25" s="57">
        <f t="shared" si="3"/>
        <v>1037.650717099456</v>
      </c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8">
        <f t="shared" si="4"/>
        <v>7185</v>
      </c>
      <c r="K26" s="56">
        <f t="shared" si="5"/>
        <v>10063.1366</v>
      </c>
      <c r="L26" s="56">
        <f t="shared" si="6"/>
        <v>2297.401421689822</v>
      </c>
      <c r="M26" s="56">
        <f t="shared" si="2"/>
        <v>2729.0088164699305</v>
      </c>
      <c r="N26" s="56">
        <f t="shared" si="7"/>
        <v>3983.313926997916</v>
      </c>
      <c r="O26" s="57">
        <f t="shared" si="3"/>
        <v>1073.7521386865956</v>
      </c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8">
        <f t="shared" si="4"/>
        <v>7685</v>
      </c>
      <c r="K27" s="56">
        <f t="shared" si="5"/>
        <v>10313.1366</v>
      </c>
      <c r="L27" s="56">
        <f t="shared" si="6"/>
        <v>2384.0309486019223</v>
      </c>
      <c r="M27" s="56">
        <f t="shared" si="2"/>
        <v>2686.6476767473077</v>
      </c>
      <c r="N27" s="56">
        <f t="shared" si="7"/>
        <v>3993.8617304904014</v>
      </c>
      <c r="O27" s="57">
        <f t="shared" si="3"/>
        <v>1106.9008264405059</v>
      </c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8">
        <f t="shared" si="4"/>
        <v>8185</v>
      </c>
      <c r="K28" s="56">
        <f t="shared" si="5"/>
        <v>10563.1366</v>
      </c>
      <c r="L28" s="56">
        <f t="shared" si="6"/>
        <v>2465.187603976408</v>
      </c>
      <c r="M28" s="56">
        <f t="shared" si="2"/>
        <v>2647.3049879283235</v>
      </c>
      <c r="N28" s="56">
        <f t="shared" si="7"/>
        <v>4004.639028984144</v>
      </c>
      <c r="O28" s="57">
        <f t="shared" si="3"/>
        <v>1137.3837992967308</v>
      </c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8">
        <f t="shared" si="4"/>
        <v>8685</v>
      </c>
      <c r="K29" s="56">
        <f t="shared" si="5"/>
        <v>10813.1366</v>
      </c>
      <c r="L29" s="56">
        <f t="shared" si="6"/>
        <v>2541.3413479242504</v>
      </c>
      <c r="M29" s="56">
        <f t="shared" si="2"/>
        <v>2610.660610570006</v>
      </c>
      <c r="N29" s="56">
        <f t="shared" si="7"/>
        <v>4015.5426388717465</v>
      </c>
      <c r="O29" s="57">
        <f t="shared" si="3"/>
        <v>1165.4534770509242</v>
      </c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8">
        <f t="shared" si="4"/>
        <v>9185</v>
      </c>
      <c r="K30" s="56">
        <f t="shared" si="5"/>
        <v>11063.1366</v>
      </c>
      <c r="L30" s="56">
        <f t="shared" si="6"/>
        <v>2612.9104206907386</v>
      </c>
      <c r="M30" s="56">
        <f t="shared" si="2"/>
        <v>2576.4357789646647</v>
      </c>
      <c r="N30" s="56">
        <f t="shared" si="7"/>
        <v>4026.4885994709216</v>
      </c>
      <c r="O30" s="57">
        <f t="shared" si="3"/>
        <v>1191.3326952804016</v>
      </c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8">
        <f t="shared" si="4"/>
        <v>9685</v>
      </c>
      <c r="K31" s="56">
        <f t="shared" si="5"/>
        <v>11313.1366</v>
      </c>
      <c r="L31" s="56">
        <f t="shared" si="6"/>
        <v>2680.2682828004395</v>
      </c>
      <c r="M31" s="56">
        <f t="shared" si="2"/>
        <v>2544.386914247241</v>
      </c>
      <c r="N31" s="56">
        <f t="shared" si="7"/>
        <v>4037.4087698746043</v>
      </c>
      <c r="O31" s="57">
        <f t="shared" si="3"/>
        <v>1215.2188718144823</v>
      </c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8">
        <f t="shared" si="4"/>
        <v>10185</v>
      </c>
      <c r="K32" s="56">
        <f t="shared" si="5"/>
        <v>11563.1366</v>
      </c>
      <c r="L32" s="56">
        <f t="shared" si="6"/>
        <v>2743.749459414699</v>
      </c>
      <c r="M32" s="56">
        <f t="shared" si="2"/>
        <v>2514.300485003079</v>
      </c>
      <c r="N32" s="56">
        <f t="shared" si="7"/>
        <v>4048.248059814237</v>
      </c>
      <c r="O32" s="57">
        <f t="shared" si="3"/>
        <v>1237.2874883743186</v>
      </c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8">
        <f t="shared" si="4"/>
        <v>10685</v>
      </c>
      <c r="K33" s="56">
        <f t="shared" si="5"/>
        <v>11813.1366</v>
      </c>
      <c r="L33" s="56">
        <f t="shared" si="6"/>
        <v>2803.6544872281265</v>
      </c>
      <c r="M33" s="56">
        <f t="shared" si="2"/>
        <v>2485.9887170325337</v>
      </c>
      <c r="N33" s="56">
        <f t="shared" si="7"/>
        <v>4058.962166775677</v>
      </c>
      <c r="O33" s="57">
        <f t="shared" si="3"/>
        <v>1257.6950157056556</v>
      </c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8">
        <f t="shared" si="4"/>
        <v>11185</v>
      </c>
      <c r="K34" s="56">
        <f t="shared" si="5"/>
        <v>12063.1366</v>
      </c>
      <c r="L34" s="56">
        <f t="shared" si="6"/>
        <v>2860.2541218950655</v>
      </c>
      <c r="M34" s="56">
        <f t="shared" si="2"/>
        <v>2459.285995564006</v>
      </c>
      <c r="N34" s="56">
        <f t="shared" si="7"/>
        <v>4069.5157196783657</v>
      </c>
      <c r="O34" s="57">
        <f t="shared" si="3"/>
        <v>1276.5813836216423</v>
      </c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8">
        <f t="shared" si="4"/>
        <v>11685</v>
      </c>
      <c r="K35" s="56">
        <f t="shared" si="5"/>
        <v>12313.1366</v>
      </c>
      <c r="L35" s="56">
        <f t="shared" si="6"/>
        <v>2913.7929327166744</v>
      </c>
      <c r="M35" s="56">
        <f t="shared" si="2"/>
        <v>2434.0458352278433</v>
      </c>
      <c r="N35" s="56">
        <f t="shared" si="7"/>
        <v>4079.880750773592</v>
      </c>
      <c r="O35" s="57">
        <f t="shared" si="3"/>
        <v>1294.0720766859272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8">
        <f t="shared" si="4"/>
        <v>12185</v>
      </c>
      <c r="K36" s="56">
        <f t="shared" si="5"/>
        <v>12563.1366</v>
      </c>
      <c r="L36" s="56">
        <f t="shared" si="6"/>
        <v>2964.492386903363</v>
      </c>
      <c r="M36" s="56">
        <f t="shared" si="2"/>
        <v>2410.1383179331924</v>
      </c>
      <c r="N36" s="56">
        <f t="shared" si="7"/>
        <v>4090.0354337868625</v>
      </c>
      <c r="O36" s="57">
        <f t="shared" si="3"/>
        <v>1310.2799202330891</v>
      </c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8">
        <f t="shared" si="4"/>
        <v>12685</v>
      </c>
      <c r="K37" s="56">
        <f t="shared" si="5"/>
        <v>12813.1366</v>
      </c>
      <c r="L37" s="56">
        <f t="shared" si="6"/>
        <v>3012.5535065185436</v>
      </c>
      <c r="M37" s="56">
        <f t="shared" si="2"/>
        <v>2387.4479181902784</v>
      </c>
      <c r="N37" s="56">
        <f t="shared" si="7"/>
        <v>4099.9630389818</v>
      </c>
      <c r="O37" s="57">
        <f t="shared" si="3"/>
        <v>1325.3066089031825</v>
      </c>
    </row>
    <row r="38" spans="1:15" ht="12.75">
      <c r="A38" s="2"/>
      <c r="B38" s="2"/>
      <c r="C38" s="2"/>
      <c r="D38" s="2"/>
      <c r="E38" s="2"/>
      <c r="H38" s="2"/>
      <c r="I38" s="2"/>
      <c r="J38" s="8">
        <f t="shared" si="4"/>
        <v>13185</v>
      </c>
      <c r="K38" s="56">
        <f t="shared" si="5"/>
        <v>13063.1366</v>
      </c>
      <c r="L38" s="56">
        <f t="shared" si="6"/>
        <v>3058.1591659934707</v>
      </c>
      <c r="M38" s="56">
        <f t="shared" si="2"/>
        <v>2365.871650686176</v>
      </c>
      <c r="N38" s="56">
        <f t="shared" si="7"/>
        <v>4109.651065672995</v>
      </c>
      <c r="O38" s="57">
        <f t="shared" si="3"/>
        <v>1339.2440200207814</v>
      </c>
    </row>
    <row r="39" spans="1:15" ht="12.75">
      <c r="A39" s="2"/>
      <c r="B39" s="2"/>
      <c r="C39" s="2"/>
      <c r="D39" s="2"/>
      <c r="E39" s="2"/>
      <c r="I39" s="2"/>
      <c r="J39" s="8">
        <f t="shared" si="4"/>
        <v>13685</v>
      </c>
      <c r="K39" s="56">
        <f t="shared" si="5"/>
        <v>13313.1366</v>
      </c>
      <c r="L39" s="56">
        <f t="shared" si="6"/>
        <v>3101.4760859723797</v>
      </c>
      <c r="M39" s="56">
        <f t="shared" si="2"/>
        <v>2345.3174870138414</v>
      </c>
      <c r="N39" s="56">
        <f t="shared" si="7"/>
        <v>4119.090520436349</v>
      </c>
      <c r="O39" s="57">
        <f t="shared" si="3"/>
        <v>1352.1753463536875</v>
      </c>
    </row>
    <row r="40" spans="1:15" ht="12.75">
      <c r="A40" s="2"/>
      <c r="B40" s="2"/>
      <c r="C40" s="2"/>
      <c r="D40" s="2"/>
      <c r="I40" s="2"/>
      <c r="J40" s="8">
        <f t="shared" si="4"/>
        <v>14185</v>
      </c>
      <c r="K40" s="56">
        <f t="shared" si="5"/>
        <v>13563.1366</v>
      </c>
      <c r="L40" s="56">
        <f t="shared" si="6"/>
        <v>3142.656569517318</v>
      </c>
      <c r="M40" s="56">
        <f t="shared" si="2"/>
        <v>2325.7029980903294</v>
      </c>
      <c r="N40" s="56">
        <f t="shared" si="7"/>
        <v>4128.27531535459</v>
      </c>
      <c r="O40" s="57">
        <f t="shared" si="3"/>
        <v>1364.176076576227</v>
      </c>
    </row>
    <row r="41" spans="1:15" ht="12.75">
      <c r="A41" s="2"/>
      <c r="B41" s="2"/>
      <c r="C41" s="2"/>
      <c r="D41" s="2"/>
      <c r="J41" s="8">
        <f t="shared" si="4"/>
        <v>14685</v>
      </c>
      <c r="K41" s="56">
        <f t="shared" si="5"/>
        <v>13813.1366</v>
      </c>
      <c r="L41" s="56">
        <f t="shared" si="6"/>
        <v>3181.8400188532437</v>
      </c>
      <c r="M41" s="56">
        <f t="shared" si="2"/>
        <v>2306.954186523791</v>
      </c>
      <c r="N41" s="56">
        <f t="shared" si="7"/>
        <v>4137.201765466168</v>
      </c>
      <c r="O41" s="57">
        <f t="shared" si="3"/>
        <v>1375.3148467852006</v>
      </c>
    </row>
    <row r="42" spans="3:15" ht="12.75">
      <c r="C42" s="2"/>
      <c r="D42" s="2"/>
      <c r="J42" s="8">
        <f t="shared" si="4"/>
        <v>15185</v>
      </c>
      <c r="K42" s="56">
        <f t="shared" si="5"/>
        <v>14063.1366</v>
      </c>
      <c r="L42" s="56">
        <f t="shared" si="6"/>
        <v>3219.1542644682663</v>
      </c>
      <c r="M42" s="56">
        <f t="shared" si="2"/>
        <v>2289.0044794126466</v>
      </c>
      <c r="N42" s="56">
        <f t="shared" si="7"/>
        <v>4145.868168438114</v>
      </c>
      <c r="O42" s="57">
        <f t="shared" si="3"/>
        <v>1385.6541824055873</v>
      </c>
    </row>
    <row r="43" spans="10:15" ht="12.75">
      <c r="J43" s="8">
        <f t="shared" si="4"/>
        <v>15685</v>
      </c>
      <c r="K43" s="56">
        <f t="shared" si="5"/>
        <v>14313.1366</v>
      </c>
      <c r="L43" s="56">
        <f t="shared" si="6"/>
        <v>3254.716733194369</v>
      </c>
      <c r="M43" s="56">
        <f t="shared" si="2"/>
        <v>2271.793857100849</v>
      </c>
      <c r="N43" s="56">
        <f t="shared" si="7"/>
        <v>4154.274452571139</v>
      </c>
      <c r="O43" s="57">
        <f t="shared" si="3"/>
        <v>1395.25114657349</v>
      </c>
    </row>
    <row r="44" spans="10:15" ht="12.75">
      <c r="J44" s="8">
        <f t="shared" si="4"/>
        <v>16185</v>
      </c>
      <c r="K44" s="56">
        <f t="shared" si="5"/>
        <v>14563.1366</v>
      </c>
      <c r="L44" s="56">
        <f t="shared" si="6"/>
        <v>3288.635477642727</v>
      </c>
      <c r="M44" s="56">
        <f aca="true" t="shared" si="8" ref="M44:M75">SQRT(SQRT($K$4*(2/(J44+$K$3)-1/K44))^2+SQRT($K$4/(J44+$K$3))^2-(2*SQRT($K$4*(2/(J44+$K$3)-1/K44))*SQRT($K$4/(J44+$K$3))*COS($B$11/$G$2)))*1000</f>
        <v>2255.268097514646</v>
      </c>
      <c r="N44" s="56">
        <f t="shared" si="7"/>
        <v>4162.421881731515</v>
      </c>
      <c r="O44" s="57">
        <f aca="true" t="shared" si="9" ref="O44:O75">(SQRT($K$4/($K$3+J44))*(1-SQRT(2*($K$3+$A$11)/(2*$K$3+$A$11+J44))))*1000</f>
        <v>1404.157908437563</v>
      </c>
    </row>
    <row r="45" spans="10:15" ht="12.75">
      <c r="J45" s="8">
        <f aca="true" t="shared" si="10" ref="J45:J76">J44+$A$14</f>
        <v>16685</v>
      </c>
      <c r="K45" s="56">
        <f t="shared" si="5"/>
        <v>14813.1366</v>
      </c>
      <c r="L45" s="56">
        <f t="shared" si="6"/>
        <v>3321.010085869019</v>
      </c>
      <c r="M45" s="56">
        <f t="shared" si="8"/>
        <v>2239.378119058419</v>
      </c>
      <c r="N45" s="56">
        <f t="shared" si="7"/>
        <v>4170.312807814904</v>
      </c>
      <c r="O45" s="57">
        <f t="shared" si="9"/>
        <v>1412.4222426550534</v>
      </c>
    </row>
    <row r="46" spans="10:15" ht="12.75">
      <c r="J46" s="8">
        <f t="shared" si="10"/>
        <v>17185</v>
      </c>
      <c r="K46" s="56">
        <f t="shared" si="5"/>
        <v>15063.1366</v>
      </c>
      <c r="L46" s="56">
        <f t="shared" si="6"/>
        <v>3351.9324872519633</v>
      </c>
      <c r="M46" s="56">
        <f t="shared" si="8"/>
        <v>2224.079407798575</v>
      </c>
      <c r="N46" s="56">
        <f t="shared" si="7"/>
        <v>4177.950462979874</v>
      </c>
      <c r="O46" s="57">
        <f t="shared" si="9"/>
        <v>1420.0879695789145</v>
      </c>
    </row>
    <row r="47" spans="10:15" ht="12.75">
      <c r="J47" s="8">
        <f t="shared" si="10"/>
        <v>17685</v>
      </c>
      <c r="K47" s="56">
        <f t="shared" si="5"/>
        <v>15313.1366</v>
      </c>
      <c r="L47" s="56">
        <f t="shared" si="6"/>
        <v>3381.487668167629</v>
      </c>
      <c r="M47" s="56">
        <f t="shared" si="8"/>
        <v>2209.3315169315915</v>
      </c>
      <c r="N47" s="56">
        <f t="shared" si="7"/>
        <v>4185.3387852194355</v>
      </c>
      <c r="O47" s="57">
        <f t="shared" si="9"/>
        <v>1427.1953441633195</v>
      </c>
    </row>
    <row r="48" spans="10:15" ht="12.75">
      <c r="J48" s="8">
        <f t="shared" si="10"/>
        <v>18185</v>
      </c>
      <c r="K48" s="56">
        <f t="shared" si="5"/>
        <v>15563.1366</v>
      </c>
      <c r="L48" s="56">
        <f t="shared" si="6"/>
        <v>3409.7543090411446</v>
      </c>
      <c r="M48" s="56">
        <f t="shared" si="8"/>
        <v>2195.0976284075123</v>
      </c>
      <c r="N48" s="56">
        <f t="shared" si="7"/>
        <v>4192.482271927225</v>
      </c>
      <c r="O48" s="57">
        <f t="shared" si="9"/>
        <v>1433.781400397022</v>
      </c>
    </row>
    <row r="49" spans="10:15" ht="12.75">
      <c r="J49" s="8">
        <f t="shared" si="10"/>
        <v>18685</v>
      </c>
      <c r="K49" s="56">
        <f t="shared" si="5"/>
        <v>15813.1366</v>
      </c>
      <c r="L49" s="56">
        <f t="shared" si="6"/>
        <v>3436.805352683584</v>
      </c>
      <c r="M49" s="56">
        <f t="shared" si="8"/>
        <v>2181.3441681367353</v>
      </c>
      <c r="N49" s="56">
        <f t="shared" si="7"/>
        <v>4199.38585700805</v>
      </c>
      <c r="O49" s="57">
        <f t="shared" si="9"/>
        <v>1439.8802570604519</v>
      </c>
    </row>
    <row r="50" spans="10:15" ht="12.75">
      <c r="J50" s="8">
        <f t="shared" si="10"/>
        <v>19185</v>
      </c>
      <c r="K50" s="56">
        <f t="shared" si="5"/>
        <v>16063.1366</v>
      </c>
      <c r="L50" s="56">
        <f t="shared" si="6"/>
        <v>3462.70851241613</v>
      </c>
      <c r="M50" s="56">
        <f t="shared" si="8"/>
        <v>2168.040467504365</v>
      </c>
      <c r="N50" s="56">
        <f t="shared" si="7"/>
        <v>4206.054807817635</v>
      </c>
      <c r="O50" s="57">
        <f t="shared" si="9"/>
        <v>1445.5233897556968</v>
      </c>
    </row>
    <row r="51" spans="10:15" ht="12.75">
      <c r="J51" s="8">
        <f t="shared" si="10"/>
        <v>19685</v>
      </c>
      <c r="K51" s="56">
        <f t="shared" si="5"/>
        <v>16313.1366</v>
      </c>
      <c r="L51" s="56">
        <f t="shared" si="6"/>
        <v>3487.5267272993856</v>
      </c>
      <c r="M51" s="56">
        <f t="shared" si="8"/>
        <v>2155.1584649997335</v>
      </c>
      <c r="N51" s="56">
        <f t="shared" si="7"/>
        <v>4212.494638823465</v>
      </c>
      <c r="O51" s="57">
        <f t="shared" si="9"/>
        <v>1450.7398734485835</v>
      </c>
    </row>
    <row r="52" spans="10:15" ht="12.75">
      <c r="J52" s="8">
        <f t="shared" si="10"/>
        <v>20185</v>
      </c>
      <c r="K52" s="56">
        <f t="shared" si="5"/>
        <v>16563.136599999998</v>
      </c>
      <c r="L52" s="56">
        <f t="shared" si="6"/>
        <v>3511.3185707842276</v>
      </c>
      <c r="M52" s="56">
        <f t="shared" si="8"/>
        <v>2142.6724426766705</v>
      </c>
      <c r="N52" s="56">
        <f t="shared" si="7"/>
        <v>4218.711039380935</v>
      </c>
      <c r="O52" s="57">
        <f t="shared" si="9"/>
        <v>1455.556599164773</v>
      </c>
    </row>
    <row r="53" spans="1:15" ht="12.75">
      <c r="A53" t="s">
        <v>45</v>
      </c>
      <c r="J53" s="8">
        <f t="shared" si="10"/>
        <v>20685</v>
      </c>
      <c r="K53" s="56">
        <f t="shared" si="5"/>
        <v>16813.136599999998</v>
      </c>
      <c r="L53" s="56">
        <f t="shared" si="6"/>
        <v>3534.1386182514357</v>
      </c>
      <c r="M53" s="56">
        <f t="shared" si="8"/>
        <v>2130.5587929234975</v>
      </c>
      <c r="N53" s="56">
        <f t="shared" si="7"/>
        <v>4224.70981343625</v>
      </c>
      <c r="O53" s="57">
        <f t="shared" si="9"/>
        <v>1459.998467977557</v>
      </c>
    </row>
    <row r="54" spans="1:15" ht="12.75">
      <c r="A54" t="s">
        <v>46</v>
      </c>
      <c r="J54" s="8">
        <f t="shared" si="10"/>
        <v>21185</v>
      </c>
      <c r="K54" s="56">
        <f t="shared" si="5"/>
        <v>17063.136599999998</v>
      </c>
      <c r="L54" s="56">
        <f t="shared" si="6"/>
        <v>3556.037778184636</v>
      </c>
      <c r="M54" s="56">
        <f t="shared" si="8"/>
        <v>2118.795811665234</v>
      </c>
      <c r="N54" s="56">
        <f t="shared" si="7"/>
        <v>4230.4968293144375</v>
      </c>
      <c r="O54" s="57">
        <f t="shared" si="9"/>
        <v>1464.088564998053</v>
      </c>
    </row>
    <row r="55" spans="10:15" ht="12.75">
      <c r="J55" s="8">
        <f t="shared" si="10"/>
        <v>21685</v>
      </c>
      <c r="K55" s="56">
        <f t="shared" si="5"/>
        <v>17313.136599999998</v>
      </c>
      <c r="L55" s="56">
        <f t="shared" si="6"/>
        <v>3577.0635911045547</v>
      </c>
      <c r="M55" s="56">
        <f t="shared" si="8"/>
        <v>2107.363514664601</v>
      </c>
      <c r="N55" s="56">
        <f t="shared" si="7"/>
        <v>4236.077978040348</v>
      </c>
      <c r="O55" s="57">
        <f t="shared" si="9"/>
        <v>1467.8483157157673</v>
      </c>
    </row>
    <row r="56" spans="10:15" ht="12.75">
      <c r="J56" s="8">
        <f t="shared" si="10"/>
        <v>22185</v>
      </c>
      <c r="K56" s="56">
        <f t="shared" si="5"/>
        <v>17563.136599999998</v>
      </c>
      <c r="L56" s="56">
        <f t="shared" si="6"/>
        <v>3597.260499864876</v>
      </c>
      <c r="M56" s="56">
        <f t="shared" si="8"/>
        <v>2096.2434740495323</v>
      </c>
      <c r="N56" s="56">
        <f t="shared" si="7"/>
        <v>4241.459138882396</v>
      </c>
      <c r="O56" s="57">
        <f t="shared" si="9"/>
        <v>1471.2976267284728</v>
      </c>
    </row>
    <row r="57" spans="10:15" ht="12.75">
      <c r="J57" s="8">
        <f t="shared" si="10"/>
        <v>22685</v>
      </c>
      <c r="K57" s="56">
        <f t="shared" si="5"/>
        <v>17813.136599999998</v>
      </c>
      <c r="L57" s="56">
        <f t="shared" si="6"/>
        <v>3616.6700944572162</v>
      </c>
      <c r="M57" s="56">
        <f t="shared" si="8"/>
        <v>2085.4186725867307</v>
      </c>
      <c r="N57" s="56">
        <f t="shared" si="7"/>
        <v>4246.646151011447</v>
      </c>
      <c r="O57" s="57">
        <f t="shared" si="9"/>
        <v>1474.4550126363058</v>
      </c>
    </row>
    <row r="58" spans="10:15" ht="12.75">
      <c r="J58" s="8">
        <f t="shared" si="10"/>
        <v>23185</v>
      </c>
      <c r="K58" s="56">
        <f t="shared" si="5"/>
        <v>18063.136599999998</v>
      </c>
      <c r="L58" s="56">
        <f t="shared" si="6"/>
        <v>3635.331334083101</v>
      </c>
      <c r="M58" s="56">
        <f t="shared" si="8"/>
        <v>2074.873373554663</v>
      </c>
      <c r="N58" s="56">
        <f t="shared" si="7"/>
        <v>4251.644790337363</v>
      </c>
      <c r="O58" s="57">
        <f t="shared" si="9"/>
        <v>1477.3377106488051</v>
      </c>
    </row>
    <row r="59" spans="10:15" ht="12.75">
      <c r="J59" s="8">
        <f t="shared" si="10"/>
        <v>23685</v>
      </c>
      <c r="K59" s="56">
        <f t="shared" si="5"/>
        <v>18313.136599999998</v>
      </c>
      <c r="L59" s="56">
        <f t="shared" si="6"/>
        <v>3653.28074891477</v>
      </c>
      <c r="M59" s="56">
        <f t="shared" si="8"/>
        <v>2064.593004354323</v>
      </c>
      <c r="N59" s="56">
        <f t="shared" si="7"/>
        <v>4256.460750728598</v>
      </c>
      <c r="O59" s="57">
        <f t="shared" si="9"/>
        <v>1479.9617842592693</v>
      </c>
    </row>
    <row r="60" spans="10:15" ht="12.75">
      <c r="J60" s="8">
        <f t="shared" si="10"/>
        <v>24185</v>
      </c>
      <c r="K60" s="56">
        <f t="shared" si="5"/>
        <v>18563.136599999998</v>
      </c>
      <c r="L60" s="56">
        <f t="shared" si="6"/>
        <v>3670.5526236760725</v>
      </c>
      <c r="M60" s="56">
        <f t="shared" si="8"/>
        <v>2054.5640522400577</v>
      </c>
      <c r="N60" s="56">
        <f t="shared" si="7"/>
        <v>4261.099628940864</v>
      </c>
      <c r="O60" s="57">
        <f t="shared" si="9"/>
        <v>1482.3422171735167</v>
      </c>
    </row>
    <row r="61" spans="10:15" ht="12.75">
      <c r="J61" s="8">
        <f t="shared" si="10"/>
        <v>24685</v>
      </c>
      <c r="K61" s="56">
        <f t="shared" si="5"/>
        <v>18813.136599999998</v>
      </c>
      <c r="L61" s="56">
        <f t="shared" si="6"/>
        <v>3687.1791649227484</v>
      </c>
      <c r="M61" s="56">
        <f t="shared" si="8"/>
        <v>2044.7739707618998</v>
      </c>
      <c r="N61" s="56">
        <f t="shared" si="7"/>
        <v>4265.566912682308</v>
      </c>
      <c r="O61" s="57">
        <f t="shared" si="9"/>
        <v>1484.4929985356298</v>
      </c>
    </row>
    <row r="62" spans="10:15" ht="12.75">
      <c r="J62" s="8">
        <f t="shared" si="10"/>
        <v>25185</v>
      </c>
      <c r="K62" s="56">
        <f t="shared" si="5"/>
        <v>19063.136599999998</v>
      </c>
      <c r="L62" s="56">
        <f t="shared" si="6"/>
        <v>3703.19065368263</v>
      </c>
      <c r="M62" s="56">
        <f t="shared" si="8"/>
        <v>2035.211095690696</v>
      </c>
      <c r="N62" s="56">
        <f t="shared" si="7"/>
        <v>4269.867971328681</v>
      </c>
      <c r="O62" s="57">
        <f t="shared" si="9"/>
        <v>1486.4272003682886</v>
      </c>
    </row>
    <row r="63" spans="10:15" ht="12.75">
      <c r="J63" s="8">
        <f t="shared" si="10"/>
        <v>25685</v>
      </c>
      <c r="K63" s="56">
        <f t="shared" si="5"/>
        <v>19313.136599999998</v>
      </c>
      <c r="L63" s="56">
        <f t="shared" si="6"/>
        <v>3718.6155849256966</v>
      </c>
      <c r="M63" s="56">
        <f t="shared" si="8"/>
        <v>2025.8645693521457</v>
      </c>
      <c r="N63" s="56">
        <f t="shared" si="7"/>
        <v>4274.008048874581</v>
      </c>
      <c r="O63" s="57">
        <f t="shared" si="9"/>
        <v>1488.1570480368532</v>
      </c>
    </row>
    <row r="64" spans="10:15" ht="12.75">
      <c r="J64" s="8">
        <f t="shared" si="10"/>
        <v>26185</v>
      </c>
      <c r="K64" s="56">
        <f t="shared" si="5"/>
        <v>19563.136599999998</v>
      </c>
      <c r="L64" s="56">
        <f t="shared" si="6"/>
        <v>3733.4807951676908</v>
      </c>
      <c r="M64" s="56">
        <f t="shared" si="8"/>
        <v>2016.7242724295843</v>
      </c>
      <c r="N64" s="56">
        <f t="shared" si="7"/>
        <v>4277.99225876848</v>
      </c>
      <c r="O64" s="57">
        <f t="shared" si="9"/>
        <v>1489.693984452123</v>
      </c>
    </row>
    <row r="65" spans="10:15" ht="12.75">
      <c r="J65" s="8">
        <f t="shared" si="10"/>
        <v>26685</v>
      </c>
      <c r="K65" s="56">
        <f t="shared" si="5"/>
        <v>19813.136599999998</v>
      </c>
      <c r="L65" s="56">
        <f t="shared" si="6"/>
        <v>3747.8115793655816</v>
      </c>
      <c r="M65" s="56">
        <f t="shared" si="8"/>
        <v>2007.7807624108152</v>
      </c>
      <c r="N65" s="56">
        <f t="shared" si="7"/>
        <v>4281.825580331473</v>
      </c>
      <c r="O65" s="57">
        <f t="shared" si="9"/>
        <v>1491.0487286445828</v>
      </c>
    </row>
    <row r="66" spans="10:15" ht="12.75">
      <c r="J66" s="8">
        <f t="shared" si="10"/>
        <v>27185</v>
      </c>
      <c r="K66" s="56">
        <f t="shared" si="5"/>
        <v>20063.136599999998</v>
      </c>
      <c r="L66" s="56">
        <f t="shared" si="6"/>
        <v>3761.6317981358397</v>
      </c>
      <c r="M66" s="56">
        <f t="shared" si="8"/>
        <v>1999.025217954585</v>
      </c>
      <c r="N66" s="56">
        <f t="shared" si="7"/>
        <v>4285.512856504216</v>
      </c>
      <c r="O66" s="57">
        <f t="shared" si="9"/>
        <v>1492.231329271294</v>
      </c>
    </row>
    <row r="67" spans="10:15" ht="12.75">
      <c r="J67" s="8">
        <f t="shared" si="10"/>
        <v>27685</v>
      </c>
      <c r="K67" s="56">
        <f t="shared" si="5"/>
        <v>20313.136599999998</v>
      </c>
      <c r="L67" s="56">
        <f t="shared" si="6"/>
        <v>3774.963976214589</v>
      </c>
      <c r="M67" s="56">
        <f t="shared" si="8"/>
        <v>1990.4493885390457</v>
      </c>
      <c r="N67" s="56">
        <f t="shared" si="7"/>
        <v>4289.05879270415</v>
      </c>
      <c r="O67" s="57">
        <f t="shared" si="9"/>
        <v>1493.2512135538884</v>
      </c>
    </row>
    <row r="68" spans="10:15" ht="12.75">
      <c r="J68" s="8">
        <f t="shared" si="10"/>
        <v>28185</v>
      </c>
      <c r="K68" s="56">
        <f t="shared" si="5"/>
        <v>20563.136599999998</v>
      </c>
      <c r="L68" s="56">
        <f t="shared" si="6"/>
        <v>3787.8293929804354</v>
      </c>
      <c r="M68" s="56">
        <f t="shared" si="8"/>
        <v>1982.0455488302466</v>
      </c>
      <c r="N68" s="56">
        <f t="shared" si="7"/>
        <v>4292.467956607437</v>
      </c>
      <c r="O68" s="57">
        <f t="shared" si="9"/>
        <v>1494.117232091198</v>
      </c>
    </row>
    <row r="69" spans="10:15" ht="12.75">
      <c r="J69" s="8">
        <f t="shared" si="10"/>
        <v>28685</v>
      </c>
      <c r="K69" s="56">
        <f t="shared" si="5"/>
        <v>20813.136599999998</v>
      </c>
      <c r="L69" s="56">
        <f t="shared" si="6"/>
        <v>3800.2481657740364</v>
      </c>
      <c r="M69" s="56">
        <f t="shared" si="8"/>
        <v>1973.8064572744775</v>
      </c>
      <c r="N69" s="56">
        <f t="shared" si="7"/>
        <v>4295.744778697351</v>
      </c>
      <c r="O69" s="57">
        <f t="shared" si="9"/>
        <v>1494.8376999417999</v>
      </c>
    </row>
    <row r="70" spans="10:15" ht="12.75">
      <c r="J70" s="8">
        <f t="shared" si="10"/>
        <v>29185</v>
      </c>
      <c r="K70" s="56">
        <f t="shared" si="5"/>
        <v>21063.136599999998</v>
      </c>
      <c r="L70" s="56">
        <f t="shared" si="6"/>
        <v>3812.2393266720323</v>
      </c>
      <c r="M70" s="56">
        <f t="shared" si="8"/>
        <v>1965.725318475728</v>
      </c>
      <c r="N70" s="56">
        <f t="shared" si="7"/>
        <v>4298.893553444348</v>
      </c>
      <c r="O70" s="57">
        <f t="shared" si="9"/>
        <v>1495.4204343293402</v>
      </c>
    </row>
    <row r="71" spans="10:15" ht="12.75">
      <c r="J71" s="8">
        <f t="shared" si="10"/>
        <v>29685</v>
      </c>
      <c r="K71" s="56">
        <f t="shared" si="5"/>
        <v>21313.136599999998</v>
      </c>
      <c r="L71" s="56">
        <f t="shared" si="6"/>
        <v>3823.820893305279</v>
      </c>
      <c r="M71" s="56">
        <f t="shared" si="8"/>
        <v>1957.7957489697574</v>
      </c>
      <c r="N71" s="56">
        <f t="shared" si="7"/>
        <v>4301.918441002974</v>
      </c>
      <c r="O71" s="57">
        <f t="shared" si="9"/>
        <v>1495.8727892860932</v>
      </c>
    </row>
    <row r="72" spans="10:15" ht="12.75">
      <c r="J72" s="8">
        <f t="shared" si="10"/>
        <v>30185</v>
      </c>
      <c r="K72" s="56">
        <f t="shared" si="5"/>
        <v>21563.136599999998</v>
      </c>
      <c r="L72" s="56">
        <f t="shared" si="6"/>
        <v>3835.009934251434</v>
      </c>
      <c r="M72" s="56">
        <f t="shared" si="8"/>
        <v>1950.0117460502133</v>
      </c>
      <c r="N72" s="56">
        <f t="shared" si="7"/>
        <v>4304.823469327898</v>
      </c>
      <c r="O72" s="57">
        <f t="shared" si="9"/>
        <v>1496.2016875172176</v>
      </c>
    </row>
    <row r="73" spans="10:15" ht="12.75">
      <c r="J73" s="8">
        <f t="shared" si="10"/>
        <v>30685</v>
      </c>
      <c r="K73" s="56">
        <f t="shared" si="5"/>
        <v>21813.136599999998</v>
      </c>
      <c r="L73" s="56">
        <f t="shared" si="6"/>
        <v>3845.822629478764</v>
      </c>
      <c r="M73" s="56">
        <f t="shared" si="8"/>
        <v>1942.3676593407608</v>
      </c>
      <c r="N73" s="56">
        <f t="shared" si="7"/>
        <v>4307.612536625878</v>
      </c>
      <c r="O73" s="57">
        <f t="shared" si="9"/>
        <v>1496.4136497389686</v>
      </c>
    </row>
    <row r="74" spans="10:15" ht="12.75">
      <c r="J74" s="8">
        <f t="shared" si="10"/>
        <v>31185</v>
      </c>
      <c r="K74" s="56">
        <f t="shared" si="5"/>
        <v>22063.136599999998</v>
      </c>
      <c r="L74" s="56">
        <f t="shared" si="6"/>
        <v>3856.2743262708564</v>
      </c>
      <c r="M74" s="56">
        <f t="shared" si="8"/>
        <v>1934.8581648410734</v>
      </c>
      <c r="N74" s="56">
        <f t="shared" si="7"/>
        <v>4310.2894140731</v>
      </c>
      <c r="O74" s="57">
        <f t="shared" si="9"/>
        <v>1496.514821718304</v>
      </c>
    </row>
    <row r="75" spans="10:15" ht="12.75">
      <c r="J75" s="8">
        <f t="shared" si="10"/>
        <v>31685</v>
      </c>
      <c r="K75" s="56">
        <f t="shared" si="5"/>
        <v>22313.136599999998</v>
      </c>
      <c r="L75" s="56">
        <f t="shared" si="6"/>
        <v>3866.3795910198296</v>
      </c>
      <c r="M75" s="56">
        <f t="shared" si="8"/>
        <v>1927.4782412042546</v>
      </c>
      <c r="N75" s="56">
        <f t="shared" si="7"/>
        <v>4312.857748737879</v>
      </c>
      <c r="O75" s="57">
        <f t="shared" si="9"/>
        <v>1496.5109992183513</v>
      </c>
    </row>
    <row r="76" spans="10:15" ht="12.75">
      <c r="J76" s="8">
        <f t="shared" si="10"/>
        <v>32185</v>
      </c>
      <c r="K76" s="56">
        <f t="shared" si="5"/>
        <v>22563.136599999998</v>
      </c>
      <c r="L76" s="56">
        <f t="shared" si="6"/>
        <v>3876.15225723819</v>
      </c>
      <c r="M76" s="56">
        <f aca="true" t="shared" si="11" ref="M76:M83">SQRT(SQRT($K$4*(2/(J76+$K$3)-1/K76))^2+SQRT($K$4/(J76+$K$3))^2-(2*SQRT($K$4*(2/(J76+$K$3)-1/K76))*SQRT($K$4/(J76+$K$3))*COS($B$11/$G$2)))*1000</f>
        <v>1920.2231480295227</v>
      </c>
      <c r="N76" s="56">
        <f t="shared" si="7"/>
        <v>4315.3210666579835</v>
      </c>
      <c r="O76" s="57">
        <f aca="true" t="shared" si="12" ref="O76:O83">(SQRT($K$4/($K$3+J76))*(1-SQRT(2*($K$3+$A$11)/(2*$K$3+$A$11+J76))))*1000</f>
        <v>1496.4076510338741</v>
      </c>
    </row>
    <row r="77" spans="10:15" ht="12.75">
      <c r="J77" s="8">
        <f aca="true" t="shared" si="13" ref="J77:J83">J76+$A$14</f>
        <v>32685</v>
      </c>
      <c r="K77" s="56">
        <f t="shared" si="5"/>
        <v>22813.136599999998</v>
      </c>
      <c r="L77" s="56">
        <f t="shared" si="6"/>
        <v>3885.605470106084</v>
      </c>
      <c r="M77" s="56">
        <f t="shared" si="11"/>
        <v>1913.0884059771067</v>
      </c>
      <c r="N77" s="56">
        <f t="shared" si="7"/>
        <v>4317.6827760296455</v>
      </c>
      <c r="O77" s="57">
        <f t="shared" si="12"/>
        <v>1496.2099402827175</v>
      </c>
    </row>
    <row r="78" spans="10:15" ht="12.75">
      <c r="J78" s="8">
        <f t="shared" si="13"/>
        <v>33185</v>
      </c>
      <c r="K78" s="56">
        <f aca="true" t="shared" si="14" ref="K78:K83">$K$3+($J$12+J78)/2</f>
        <v>23063.136599999998</v>
      </c>
      <c r="L78" s="56">
        <f aca="true" t="shared" si="15" ref="L78:L83">(ABS(SQRT($K$4*(2/($J$12+$K$3)-1/K78))-SQRT($K$4/($J$12+$K$3)))+ABS(SQRT($K$4/(J78+$K$3))-SQRT($K$4*(2/(J78+$K$3)-1/K78))))*1000</f>
        <v>3894.751727840703</v>
      </c>
      <c r="M78" s="56">
        <f t="shared" si="11"/>
        <v>1906.0697785327272</v>
      </c>
      <c r="N78" s="56">
        <f aca="true" t="shared" si="16" ref="N78:N83">(ABS(SQRT($K$4*(2/($J$12+$K$3)-1/K78))-SQRT($K$4/($J$12+$K$3)))+M78/1000)*1000</f>
        <v>4319.946170472029</v>
      </c>
      <c r="O78" s="57">
        <f t="shared" si="12"/>
        <v>1495.9227441030775</v>
      </c>
    </row>
    <row r="79" spans="10:15" ht="12.75">
      <c r="J79" s="8">
        <f t="shared" si="13"/>
        <v>33685</v>
      </c>
      <c r="K79" s="56">
        <f t="shared" si="14"/>
        <v>23313.136599999998</v>
      </c>
      <c r="L79" s="56">
        <f t="shared" si="15"/>
        <v>3903.6029201479464</v>
      </c>
      <c r="M79" s="56">
        <f t="shared" si="11"/>
        <v>1899.1632552671313</v>
      </c>
      <c r="N79" s="56">
        <f t="shared" si="16"/>
        <v>4322.114432336734</v>
      </c>
      <c r="O79" s="57">
        <f t="shared" si="12"/>
        <v>1495.5506718920192</v>
      </c>
    </row>
    <row r="80" spans="10:15" ht="12.75">
      <c r="J80" s="8">
        <f t="shared" si="13"/>
        <v>34185</v>
      </c>
      <c r="K80" s="56">
        <f t="shared" si="14"/>
        <v>23563.136599999998</v>
      </c>
      <c r="L80" s="56">
        <f t="shared" si="15"/>
        <v>3912.170363992395</v>
      </c>
      <c r="M80" s="56">
        <f t="shared" si="11"/>
        <v>1892.3650364521357</v>
      </c>
      <c r="N80" s="56">
        <f t="shared" si="16"/>
        <v>4324.190636036805</v>
      </c>
      <c r="O80" s="57">
        <f t="shared" si="12"/>
        <v>1495.0980822077945</v>
      </c>
    </row>
    <row r="81" spans="10:15" ht="12.75">
      <c r="J81" s="8">
        <f t="shared" si="13"/>
        <v>34685</v>
      </c>
      <c r="K81" s="56">
        <f t="shared" si="14"/>
        <v>23813.136599999998</v>
      </c>
      <c r="L81" s="56">
        <f t="shared" si="15"/>
        <v>3920.4648369001357</v>
      </c>
      <c r="M81" s="56">
        <f t="shared" si="11"/>
        <v>1885.6715189088607</v>
      </c>
      <c r="N81" s="56">
        <f t="shared" si="16"/>
        <v>4326.177751373974</v>
      </c>
      <c r="O81" s="57">
        <f t="shared" si="12"/>
        <v>1494.5690984469788</v>
      </c>
    </row>
    <row r="82" spans="10:15" ht="12.75">
      <c r="J82" s="8">
        <f t="shared" si="13"/>
        <v>35185</v>
      </c>
      <c r="K82" s="56">
        <f t="shared" si="14"/>
        <v>24063.136599999998</v>
      </c>
      <c r="L82" s="56">
        <f t="shared" si="15"/>
        <v>3928.4966079896726</v>
      </c>
      <c r="M82" s="56">
        <f t="shared" si="11"/>
        <v>1879.0792829764487</v>
      </c>
      <c r="N82" s="56">
        <f t="shared" si="16"/>
        <v>4328.078646846484</v>
      </c>
      <c r="O82" s="57">
        <f t="shared" si="12"/>
        <v>1493.9676233971302</v>
      </c>
    </row>
    <row r="83" spans="10:15" ht="13.5" thickBot="1">
      <c r="J83" s="62">
        <f t="shared" si="13"/>
        <v>35685</v>
      </c>
      <c r="K83" s="63">
        <f t="shared" si="14"/>
        <v>24313.136599999998</v>
      </c>
      <c r="L83" s="63">
        <f t="shared" si="15"/>
        <v>3936.2754669086576</v>
      </c>
      <c r="M83" s="63">
        <f t="shared" si="11"/>
        <v>1872.5850805007271</v>
      </c>
      <c r="N83" s="63">
        <f t="shared" si="16"/>
        <v>4329.896092922874</v>
      </c>
      <c r="O83" s="64">
        <f t="shared" si="12"/>
        <v>1493.2973527564025</v>
      </c>
    </row>
  </sheetData>
  <sheetProtection/>
  <mergeCells count="4">
    <mergeCell ref="J1:V1"/>
    <mergeCell ref="F1:H1"/>
    <mergeCell ref="A7:C8"/>
    <mergeCell ref="A6:C6"/>
  </mergeCells>
  <printOptions/>
  <pageMargins left="0.5" right="0.5" top="0.5" bottom="0.5" header="0" footer="0"/>
  <pageSetup horizontalDpi="600" verticalDpi="600" orientation="portrait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AShao</cp:lastModifiedBy>
  <cp:lastPrinted>2011-08-03T00:50:43Z</cp:lastPrinted>
  <dcterms:created xsi:type="dcterms:W3CDTF">2010-05-12T20:30:00Z</dcterms:created>
  <dcterms:modified xsi:type="dcterms:W3CDTF">2011-08-03T00:50:58Z</dcterms:modified>
  <cp:category/>
  <cp:version/>
  <cp:contentType/>
  <cp:contentStatus/>
</cp:coreProperties>
</file>